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91" windowWidth="18885" windowHeight="11070" activeTab="0"/>
  </bookViews>
  <sheets>
    <sheet name="MM.2014" sheetId="1" r:id="rId1"/>
  </sheets>
  <definedNames>
    <definedName name="_xlnm.Print_Area" localSheetId="0">'MM.2014'!$A$1:$AT$24</definedName>
  </definedNames>
  <calcPr fullCalcOnLoad="1"/>
</workbook>
</file>

<file path=xl/sharedStrings.xml><?xml version="1.0" encoding="utf-8"?>
<sst xmlns="http://schemas.openxmlformats.org/spreadsheetml/2006/main" count="99" uniqueCount="80">
  <si>
    <t>Imię i nazwisko</t>
  </si>
  <si>
    <t>SKŁADNIKI WYNAGRODZENIA</t>
  </si>
  <si>
    <t>Odliczenia od dochodu</t>
  </si>
  <si>
    <t>Potrącona zaliczka na podatek dochodowy</t>
  </si>
  <si>
    <t>POTRĄCENIA</t>
  </si>
  <si>
    <t>DODATKI</t>
  </si>
  <si>
    <r>
      <t xml:space="preserve">Do wypłaty </t>
    </r>
    <r>
      <rPr>
        <sz val="7"/>
        <rFont val="Arial CE"/>
        <family val="2"/>
      </rPr>
      <t>(kol. 8-13-17-20-21+22+23)</t>
    </r>
  </si>
  <si>
    <t>Data wypłaty</t>
  </si>
  <si>
    <t>PRACOWNICY</t>
  </si>
  <si>
    <t>PRACODAWCA</t>
  </si>
  <si>
    <t>płaca podstawowa</t>
  </si>
  <si>
    <t>inne</t>
  </si>
  <si>
    <t>Składki ubezpieczeń społecznych</t>
  </si>
  <si>
    <t>Koszty uzyskania przychodu</t>
  </si>
  <si>
    <t>Składka grupowego ubezpieczenia na życie</t>
  </si>
  <si>
    <t>Inne</t>
  </si>
  <si>
    <t>Zasiłek rodzinny</t>
  </si>
  <si>
    <t>premia uznaniowa</t>
  </si>
  <si>
    <t>ekwiwalent za urlop</t>
  </si>
  <si>
    <t>Razem składki ubezp. społ.</t>
  </si>
  <si>
    <t>Wypłacono</t>
  </si>
  <si>
    <t>razem pracownicy</t>
  </si>
  <si>
    <t>razem pracodawca</t>
  </si>
  <si>
    <t>suma składek ZUS</t>
  </si>
  <si>
    <t>m-c</t>
  </si>
  <si>
    <t>Pierwszy Pracownik</t>
  </si>
  <si>
    <t>Drugi Pracownik</t>
  </si>
  <si>
    <t>Nazwa i adres zakładu pracy</t>
  </si>
  <si>
    <t>Sporządzono dnia .....................</t>
  </si>
  <si>
    <t>podsumowanie składek ZUS</t>
  </si>
  <si>
    <r>
      <t xml:space="preserve">Ogółem przychód </t>
    </r>
    <r>
      <rPr>
        <sz val="7"/>
        <rFont val="Arial CE"/>
        <family val="2"/>
      </rPr>
      <t>(kol.1+2+3
+4+5+6+7)</t>
    </r>
  </si>
  <si>
    <t>Należna zaliczka na podatek dochodowy
(kol. 17-18)</t>
  </si>
  <si>
    <t>Wynagrodzenie za czas niezdolności
do pracy</t>
  </si>
  <si>
    <r>
      <t xml:space="preserve">ubezpieczenie rentowe
</t>
    </r>
    <r>
      <rPr>
        <sz val="7"/>
        <rFont val="Arial CE"/>
        <family val="0"/>
      </rPr>
      <t>[1,5% z kol. 9]</t>
    </r>
  </si>
  <si>
    <r>
      <t xml:space="preserve">Podstawa wymiaru składek ubezpieczeń społecznych
</t>
    </r>
    <r>
      <rPr>
        <sz val="7"/>
        <rFont val="Arial CE"/>
        <family val="0"/>
      </rPr>
      <t>(kol. 8-7)</t>
    </r>
  </si>
  <si>
    <r>
      <t xml:space="preserve">ubezpieczenie emerytalne
</t>
    </r>
    <r>
      <rPr>
        <sz val="7"/>
        <rFont val="Arial CE"/>
        <family val="0"/>
      </rPr>
      <t>[9,76% z kol. 9]</t>
    </r>
  </si>
  <si>
    <r>
      <t xml:space="preserve">ubezpieczenie chorobowe
</t>
    </r>
    <r>
      <rPr>
        <sz val="7"/>
        <rFont val="Arial CE"/>
        <family val="0"/>
      </rPr>
      <t>[2,45% z kol. 9]</t>
    </r>
  </si>
  <si>
    <r>
      <t xml:space="preserve">Podstawa wymiaru składki ubezpieczenia zdrowotnego
</t>
    </r>
    <r>
      <rPr>
        <sz val="7"/>
        <rFont val="Arial CE"/>
        <family val="2"/>
      </rPr>
      <t>(kol. 8-13)</t>
    </r>
  </si>
  <si>
    <r>
      <t xml:space="preserve">Podstawa naliczania podatku dochodowego
</t>
    </r>
    <r>
      <rPr>
        <sz val="7"/>
        <rFont val="Arial CE"/>
        <family val="2"/>
      </rPr>
      <t>(kol. 8-13-14)</t>
    </r>
  </si>
  <si>
    <r>
      <t xml:space="preserve">SKŁADKA ubezpieczenia zdrowotnego
</t>
    </r>
    <r>
      <rPr>
        <sz val="7"/>
        <rFont val="Arial CE"/>
        <family val="2"/>
      </rPr>
      <t>[7,75% z kol. 15]</t>
    </r>
  </si>
  <si>
    <r>
      <t xml:space="preserve">SKŁADKA ubezpieczenia zdrowotnego
</t>
    </r>
    <r>
      <rPr>
        <sz val="7"/>
        <rFont val="Arial CE"/>
        <family val="2"/>
      </rPr>
      <t>[9,00% z kol. 15]</t>
    </r>
  </si>
  <si>
    <t>Lista płac za m-c …….... 2014 r.</t>
  </si>
  <si>
    <t>MM/2014</t>
  </si>
  <si>
    <t>Razem MM/2014</t>
  </si>
  <si>
    <t>Należna zaliczka na PDOF (kol. 17 - 18)</t>
  </si>
  <si>
    <t>ubezpiecz. emerytalne [9,76% z kol. 9]</t>
  </si>
  <si>
    <t>ubezpiecz. rentowe [1,50% z kol. 9]</t>
  </si>
  <si>
    <t>ubezpiecz. chorobowe [2,45% z kol. 9]</t>
  </si>
  <si>
    <t>razem społeczne pracownicy</t>
  </si>
  <si>
    <t>ubezpiecz. zdrowotne [9,00% z kol. 15]</t>
  </si>
  <si>
    <t>ubezpiecz. rentowe 6,50% z kol. 9]</t>
  </si>
  <si>
    <t>ubezpiecz. wypadko- we [1,93% z kol. 9]</t>
  </si>
  <si>
    <t>razem społeczne pracodawca</t>
  </si>
  <si>
    <t>FP [2,45% z kol. 9]</t>
  </si>
  <si>
    <t>FGŚP [0,10% z kol. 9]</t>
  </si>
  <si>
    <t>razem
FP i FGŚP</t>
  </si>
  <si>
    <t>Razem</t>
  </si>
  <si>
    <t>imię i nazwisko</t>
  </si>
  <si>
    <t>rachunek z dnia</t>
  </si>
  <si>
    <t>Kwota rachunku brutto</t>
  </si>
  <si>
    <t>Podstawa wymiaru składek ubezpieczeń społecznych</t>
  </si>
  <si>
    <t>Składka emerytalna</t>
  </si>
  <si>
    <t>Składka rentowa</t>
  </si>
  <si>
    <t>Składka chorobowa - dobrowolna</t>
  </si>
  <si>
    <t>Razem składki społeczne</t>
  </si>
  <si>
    <t>Koszty uzyskania przychodu (20%-zwykłe, 50%-autorskie)</t>
  </si>
  <si>
    <r>
      <t>Przychód</t>
    </r>
    <r>
      <rPr>
        <sz val="8"/>
        <rFont val="Arial"/>
        <family val="0"/>
      </rPr>
      <t xml:space="preserve"> = podstawa wymiaru składki ubezpieczenia zdrowotnego</t>
    </r>
  </si>
  <si>
    <t>Podstawa opodatkowania (przychód - k.u.p; zaokr. do zł)</t>
  </si>
  <si>
    <t>Naliczony podatek (18% podstawy opodatk.)</t>
  </si>
  <si>
    <t>Składka ubezp. zdrow. do odlicz. od podatku (7,75% podstawy)</t>
  </si>
  <si>
    <t>Składka na ubezpieczenie zdrowotne (9% podstawy)</t>
  </si>
  <si>
    <r>
      <t>Podatek do US</t>
    </r>
    <r>
      <rPr>
        <sz val="8"/>
        <rFont val="Arial"/>
        <family val="0"/>
      </rPr>
      <t xml:space="preserve"> (podatek - zdrow.7,75%; zaokr. do zł)</t>
    </r>
  </si>
  <si>
    <t>Kwota do wypłaty</t>
  </si>
  <si>
    <t>ubezpiecz. wypadko-
we [1,93% z kol. 9]</t>
  </si>
  <si>
    <t>FP - dobrowolna [2,45% z kol. 9]</t>
  </si>
  <si>
    <t>wynagrodzenia z umów o pracę</t>
  </si>
  <si>
    <t>wynagrodzenia z umów-zlecenia i o dzieło</t>
  </si>
  <si>
    <t>Umowa zlecenia</t>
  </si>
  <si>
    <t>Umowa o dzieło</t>
  </si>
  <si>
    <t>Razem wypłacone MM/2014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</si>
</sst>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zł&quot;"/>
    <numFmt numFmtId="165" formatCode="#,##0.00&quot; zł&quot;"/>
    <numFmt numFmtId="166" formatCode="yyyy/mm/dd;@"/>
    <numFmt numFmtId="167" formatCode="[$-415]d\ mmmm\ yyyy"/>
    <numFmt numFmtId="168" formatCode="mmm/yyyy"/>
    <numFmt numFmtId="169" formatCode="0.0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 CE"/>
      <family val="2"/>
    </font>
    <font>
      <b/>
      <sz val="10"/>
      <name val="Arial"/>
      <family val="2"/>
    </font>
    <font>
      <sz val="9"/>
      <name val="Arial"/>
      <family val="0"/>
    </font>
    <font>
      <sz val="9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b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3" fillId="0" borderId="10" xfId="0" applyFont="1" applyBorder="1" applyAlignment="1">
      <alignment horizontal="center"/>
    </xf>
    <xf numFmtId="0" fontId="23" fillId="7" borderId="11" xfId="0" applyFont="1" applyFill="1" applyBorder="1" applyAlignment="1">
      <alignment horizontal="center"/>
    </xf>
    <xf numFmtId="0" fontId="23" fillId="7" borderId="12" xfId="0" applyFont="1" applyFill="1" applyBorder="1" applyAlignment="1">
      <alignment horizontal="center"/>
    </xf>
    <xf numFmtId="0" fontId="23" fillId="7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4" fontId="23" fillId="0" borderId="16" xfId="0" applyNumberFormat="1" applyFont="1" applyFill="1" applyBorder="1" applyAlignment="1">
      <alignment/>
    </xf>
    <xf numFmtId="4" fontId="23" fillId="0" borderId="15" xfId="0" applyNumberFormat="1" applyFont="1" applyFill="1" applyBorder="1" applyAlignment="1">
      <alignment/>
    </xf>
    <xf numFmtId="4" fontId="27" fillId="0" borderId="15" xfId="0" applyNumberFormat="1" applyFont="1" applyFill="1" applyBorder="1" applyAlignment="1">
      <alignment/>
    </xf>
    <xf numFmtId="4" fontId="23" fillId="0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2" fillId="24" borderId="18" xfId="0" applyFont="1" applyFill="1" applyBorder="1" applyAlignment="1">
      <alignment/>
    </xf>
    <xf numFmtId="0" fontId="22" fillId="24" borderId="19" xfId="0" applyFont="1" applyFill="1" applyBorder="1" applyAlignment="1">
      <alignment/>
    </xf>
    <xf numFmtId="4" fontId="22" fillId="24" borderId="19" xfId="0" applyNumberFormat="1" applyFont="1" applyFill="1" applyBorder="1" applyAlignment="1">
      <alignment/>
    </xf>
    <xf numFmtId="4" fontId="25" fillId="24" borderId="15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left"/>
    </xf>
    <xf numFmtId="4" fontId="26" fillId="0" borderId="0" xfId="0" applyNumberFormat="1" applyFont="1" applyFill="1" applyAlignment="1">
      <alignment horizontal="left"/>
    </xf>
    <xf numFmtId="0" fontId="28" fillId="0" borderId="0" xfId="0" applyFont="1" applyAlignment="1">
      <alignment/>
    </xf>
    <xf numFmtId="4" fontId="22" fillId="0" borderId="15" xfId="0" applyNumberFormat="1" applyFont="1" applyFill="1" applyBorder="1" applyAlignment="1">
      <alignment/>
    </xf>
    <xf numFmtId="166" fontId="23" fillId="0" borderId="20" xfId="0" applyNumberFormat="1" applyFont="1" applyFill="1" applyBorder="1" applyAlignment="1">
      <alignment/>
    </xf>
    <xf numFmtId="0" fontId="22" fillId="24" borderId="21" xfId="0" applyFont="1" applyFill="1" applyBorder="1" applyAlignment="1">
      <alignment/>
    </xf>
    <xf numFmtId="0" fontId="23" fillId="7" borderId="14" xfId="0" applyFont="1" applyFill="1" applyBorder="1" applyAlignment="1">
      <alignment horizontal="center"/>
    </xf>
    <xf numFmtId="4" fontId="23" fillId="0" borderId="14" xfId="0" applyNumberFormat="1" applyFont="1" applyFill="1" applyBorder="1" applyAlignment="1">
      <alignment/>
    </xf>
    <xf numFmtId="4" fontId="22" fillId="24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22" fillId="0" borderId="20" xfId="0" applyNumberFormat="1" applyFont="1" applyFill="1" applyBorder="1" applyAlignment="1">
      <alignment/>
    </xf>
    <xf numFmtId="4" fontId="22" fillId="0" borderId="17" xfId="0" applyNumberFormat="1" applyFont="1" applyFill="1" applyBorder="1" applyAlignment="1">
      <alignment/>
    </xf>
    <xf numFmtId="4" fontId="22" fillId="0" borderId="22" xfId="0" applyNumberFormat="1" applyFont="1" applyFill="1" applyBorder="1" applyAlignment="1">
      <alignment/>
    </xf>
    <xf numFmtId="4" fontId="22" fillId="0" borderId="16" xfId="0" applyNumberFormat="1" applyFont="1" applyFill="1" applyBorder="1" applyAlignment="1">
      <alignment/>
    </xf>
    <xf numFmtId="4" fontId="25" fillId="24" borderId="20" xfId="0" applyNumberFormat="1" applyFont="1" applyFill="1" applyBorder="1" applyAlignment="1">
      <alignment/>
    </xf>
    <xf numFmtId="4" fontId="25" fillId="24" borderId="16" xfId="0" applyNumberFormat="1" applyFont="1" applyFill="1" applyBorder="1" applyAlignment="1">
      <alignment/>
    </xf>
    <xf numFmtId="4" fontId="25" fillId="24" borderId="17" xfId="0" applyNumberFormat="1" applyFont="1" applyFill="1" applyBorder="1" applyAlignment="1">
      <alignment/>
    </xf>
    <xf numFmtId="4" fontId="25" fillId="24" borderId="22" xfId="0" applyNumberFormat="1" applyFont="1" applyFill="1" applyBorder="1" applyAlignment="1">
      <alignment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 horizontal="left"/>
    </xf>
    <xf numFmtId="0" fontId="26" fillId="0" borderId="15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6" fillId="20" borderId="15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3" borderId="15" xfId="0" applyFont="1" applyFill="1" applyBorder="1" applyAlignment="1">
      <alignment horizontal="center" vertical="center" wrapText="1"/>
    </xf>
    <xf numFmtId="4" fontId="26" fillId="0" borderId="15" xfId="0" applyNumberFormat="1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24" borderId="15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5" fillId="8" borderId="2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8" borderId="17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/>
    </xf>
    <xf numFmtId="14" fontId="30" fillId="0" borderId="15" xfId="0" applyNumberFormat="1" applyFont="1" applyFill="1" applyBorder="1" applyAlignment="1">
      <alignment/>
    </xf>
    <xf numFmtId="4" fontId="29" fillId="20" borderId="15" xfId="0" applyNumberFormat="1" applyFont="1" applyFill="1" applyBorder="1" applyAlignment="1">
      <alignment/>
    </xf>
    <xf numFmtId="4" fontId="29" fillId="0" borderId="15" xfId="0" applyNumberFormat="1" applyFont="1" applyBorder="1" applyAlignment="1">
      <alignment/>
    </xf>
    <xf numFmtId="4" fontId="29" fillId="3" borderId="15" xfId="0" applyNumberFormat="1" applyFont="1" applyFill="1" applyBorder="1" applyAlignment="1">
      <alignment/>
    </xf>
    <xf numFmtId="4" fontId="31" fillId="0" borderId="15" xfId="0" applyNumberFormat="1" applyFont="1" applyFill="1" applyBorder="1" applyAlignment="1">
      <alignment/>
    </xf>
    <xf numFmtId="14" fontId="29" fillId="0" borderId="15" xfId="0" applyNumberFormat="1" applyFont="1" applyFill="1" applyBorder="1" applyAlignment="1">
      <alignment/>
    </xf>
    <xf numFmtId="4" fontId="29" fillId="0" borderId="15" xfId="0" applyNumberFormat="1" applyFont="1" applyFill="1" applyBorder="1" applyAlignment="1">
      <alignment/>
    </xf>
    <xf numFmtId="4" fontId="29" fillId="0" borderId="0" xfId="0" applyNumberFormat="1" applyFont="1" applyFill="1" applyAlignment="1">
      <alignment horizontal="left"/>
    </xf>
    <xf numFmtId="4" fontId="30" fillId="0" borderId="15" xfId="0" applyNumberFormat="1" applyFont="1" applyFill="1" applyBorder="1" applyAlignment="1">
      <alignment/>
    </xf>
    <xf numFmtId="4" fontId="30" fillId="20" borderId="15" xfId="0" applyNumberFormat="1" applyFont="1" applyFill="1" applyBorder="1" applyAlignment="1">
      <alignment/>
    </xf>
    <xf numFmtId="4" fontId="32" fillId="0" borderId="15" xfId="0" applyNumberFormat="1" applyFont="1" applyFill="1" applyBorder="1" applyAlignment="1">
      <alignment/>
    </xf>
    <xf numFmtId="4" fontId="32" fillId="0" borderId="20" xfId="0" applyNumberFormat="1" applyFont="1" applyFill="1" applyBorder="1" applyAlignment="1">
      <alignment/>
    </xf>
    <xf numFmtId="4" fontId="30" fillId="0" borderId="14" xfId="0" applyNumberFormat="1" applyFont="1" applyFill="1" applyBorder="1" applyAlignment="1">
      <alignment/>
    </xf>
    <xf numFmtId="4" fontId="32" fillId="0" borderId="17" xfId="0" applyNumberFormat="1" applyFont="1" applyFill="1" applyBorder="1" applyAlignment="1">
      <alignment/>
    </xf>
    <xf numFmtId="4" fontId="32" fillId="0" borderId="22" xfId="0" applyNumberFormat="1" applyFont="1" applyFill="1" applyBorder="1" applyAlignment="1">
      <alignment/>
    </xf>
    <xf numFmtId="4" fontId="32" fillId="0" borderId="14" xfId="0" applyNumberFormat="1" applyFont="1" applyFill="1" applyBorder="1" applyAlignment="1">
      <alignment/>
    </xf>
    <xf numFmtId="4" fontId="32" fillId="20" borderId="15" xfId="0" applyNumberFormat="1" applyFont="1" applyFill="1" applyBorder="1" applyAlignment="1">
      <alignment/>
    </xf>
    <xf numFmtId="4" fontId="32" fillId="20" borderId="20" xfId="0" applyNumberFormat="1" applyFont="1" applyFill="1" applyBorder="1" applyAlignment="1">
      <alignment/>
    </xf>
    <xf numFmtId="4" fontId="30" fillId="20" borderId="14" xfId="0" applyNumberFormat="1" applyFont="1" applyFill="1" applyBorder="1" applyAlignment="1">
      <alignment/>
    </xf>
    <xf numFmtId="4" fontId="32" fillId="20" borderId="17" xfId="0" applyNumberFormat="1" applyFont="1" applyFill="1" applyBorder="1" applyAlignment="1">
      <alignment/>
    </xf>
    <xf numFmtId="4" fontId="32" fillId="20" borderId="22" xfId="0" applyNumberFormat="1" applyFont="1" applyFill="1" applyBorder="1" applyAlignment="1">
      <alignment/>
    </xf>
    <xf numFmtId="14" fontId="32" fillId="0" borderId="15" xfId="0" applyNumberFormat="1" applyFont="1" applyFill="1" applyBorder="1" applyAlignment="1">
      <alignment/>
    </xf>
    <xf numFmtId="4" fontId="31" fillId="20" borderId="15" xfId="0" applyNumberFormat="1" applyFont="1" applyFill="1" applyBorder="1" applyAlignment="1">
      <alignment/>
    </xf>
    <xf numFmtId="4" fontId="31" fillId="0" borderId="15" xfId="0" applyNumberFormat="1" applyFont="1" applyFill="1" applyBorder="1" applyAlignment="1">
      <alignment/>
    </xf>
    <xf numFmtId="14" fontId="31" fillId="0" borderId="15" xfId="0" applyNumberFormat="1" applyFont="1" applyFill="1" applyBorder="1" applyAlignment="1">
      <alignment/>
    </xf>
    <xf numFmtId="4" fontId="31" fillId="0" borderId="0" xfId="0" applyNumberFormat="1" applyFont="1" applyFill="1" applyAlignment="1">
      <alignment horizontal="left"/>
    </xf>
    <xf numFmtId="0" fontId="23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4" fontId="28" fillId="0" borderId="0" xfId="0" applyNumberFormat="1" applyFont="1" applyAlignment="1">
      <alignment horizontal="left"/>
    </xf>
    <xf numFmtId="4" fontId="23" fillId="0" borderId="0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9" fillId="0" borderId="15" xfId="0" applyNumberFormat="1" applyFont="1" applyFill="1" applyBorder="1" applyAlignment="1">
      <alignment/>
    </xf>
    <xf numFmtId="0" fontId="31" fillId="0" borderId="15" xfId="0" applyFont="1" applyFill="1" applyBorder="1" applyAlignment="1">
      <alignment/>
    </xf>
    <xf numFmtId="4" fontId="26" fillId="0" borderId="0" xfId="0" applyNumberFormat="1" applyFont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28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26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/>
    </xf>
    <xf numFmtId="4" fontId="33" fillId="0" borderId="0" xfId="0" applyNumberFormat="1" applyFont="1" applyFill="1" applyBorder="1" applyAlignment="1">
      <alignment/>
    </xf>
    <xf numFmtId="0" fontId="25" fillId="4" borderId="23" xfId="0" applyFont="1" applyFill="1" applyBorder="1" applyAlignment="1">
      <alignment horizontal="center" vertical="center" wrapText="1"/>
    </xf>
    <xf numFmtId="0" fontId="25" fillId="4" borderId="24" xfId="0" applyFont="1" applyFill="1" applyBorder="1" applyAlignment="1">
      <alignment horizontal="center" vertical="center" wrapText="1"/>
    </xf>
    <xf numFmtId="0" fontId="25" fillId="4" borderId="25" xfId="0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center" vertical="center" wrapText="1"/>
    </xf>
    <xf numFmtId="0" fontId="22" fillId="24" borderId="28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5" fillId="24" borderId="29" xfId="0" applyFont="1" applyFill="1" applyBorder="1" applyAlignment="1">
      <alignment horizontal="center" vertical="center" wrapText="1"/>
    </xf>
    <xf numFmtId="0" fontId="25" fillId="24" borderId="30" xfId="0" applyFont="1" applyFill="1" applyBorder="1" applyAlignment="1">
      <alignment horizontal="center" vertical="center" wrapText="1"/>
    </xf>
    <xf numFmtId="0" fontId="25" fillId="24" borderId="31" xfId="0" applyFont="1" applyFill="1" applyBorder="1" applyAlignment="1">
      <alignment horizontal="center" vertical="center" wrapText="1"/>
    </xf>
    <xf numFmtId="0" fontId="25" fillId="8" borderId="32" xfId="0" applyFont="1" applyFill="1" applyBorder="1" applyAlignment="1">
      <alignment horizontal="center" vertical="center" wrapText="1"/>
    </xf>
    <xf numFmtId="0" fontId="25" fillId="8" borderId="33" xfId="0" applyFont="1" applyFill="1" applyBorder="1" applyAlignment="1">
      <alignment horizontal="center" vertical="center" wrapText="1"/>
    </xf>
    <xf numFmtId="0" fontId="25" fillId="8" borderId="34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  <xf numFmtId="0" fontId="25" fillId="8" borderId="35" xfId="0" applyFont="1" applyFill="1" applyBorder="1" applyAlignment="1">
      <alignment horizontal="center" vertical="center" wrapText="1"/>
    </xf>
    <xf numFmtId="0" fontId="25" fillId="8" borderId="36" xfId="0" applyFont="1" applyFill="1" applyBorder="1" applyAlignment="1">
      <alignment horizontal="center" vertical="center" wrapText="1"/>
    </xf>
    <xf numFmtId="0" fontId="25" fillId="8" borderId="37" xfId="0" applyFont="1" applyFill="1" applyBorder="1" applyAlignment="1">
      <alignment horizontal="center" vertical="center" wrapText="1"/>
    </xf>
    <xf numFmtId="0" fontId="25" fillId="8" borderId="17" xfId="0" applyFont="1" applyFill="1" applyBorder="1" applyAlignment="1">
      <alignment horizontal="center"/>
    </xf>
    <xf numFmtId="0" fontId="25" fillId="8" borderId="38" xfId="0" applyFont="1" applyFill="1" applyBorder="1" applyAlignment="1">
      <alignment horizontal="center"/>
    </xf>
    <xf numFmtId="0" fontId="25" fillId="8" borderId="39" xfId="0" applyFont="1" applyFill="1" applyBorder="1" applyAlignment="1">
      <alignment horizontal="center"/>
    </xf>
    <xf numFmtId="0" fontId="25" fillId="8" borderId="38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22" xfId="0" applyBorder="1" applyAlignment="1">
      <alignment/>
    </xf>
    <xf numFmtId="0" fontId="0" fillId="0" borderId="41" xfId="0" applyBorder="1" applyAlignment="1">
      <alignment/>
    </xf>
    <xf numFmtId="0" fontId="22" fillId="4" borderId="14" xfId="0" applyFont="1" applyFill="1" applyBorder="1" applyAlignment="1">
      <alignment horizontal="center" vertical="center" wrapText="1"/>
    </xf>
    <xf numFmtId="0" fontId="22" fillId="24" borderId="42" xfId="0" applyFont="1" applyFill="1" applyBorder="1" applyAlignment="1">
      <alignment horizontal="center" vertical="center"/>
    </xf>
    <xf numFmtId="0" fontId="24" fillId="24" borderId="43" xfId="0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 shrinkToFit="1"/>
    </xf>
    <xf numFmtId="0" fontId="21" fillId="0" borderId="22" xfId="0" applyFont="1" applyFill="1" applyBorder="1" applyAlignment="1">
      <alignment horizontal="center" vertical="center" wrapText="1" shrinkToFit="1"/>
    </xf>
    <xf numFmtId="0" fontId="0" fillId="0" borderId="41" xfId="0" applyFill="1" applyBorder="1" applyAlignment="1">
      <alignment/>
    </xf>
    <xf numFmtId="0" fontId="21" fillId="0" borderId="40" xfId="0" applyFont="1" applyBorder="1" applyAlignment="1">
      <alignment horizontal="center" vertical="center" wrapText="1" shrinkToFit="1"/>
    </xf>
    <xf numFmtId="0" fontId="21" fillId="0" borderId="22" xfId="0" applyFont="1" applyBorder="1" applyAlignment="1">
      <alignment horizontal="center" vertical="center" wrapText="1" shrinkToFit="1"/>
    </xf>
    <xf numFmtId="0" fontId="21" fillId="0" borderId="4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2" fillId="24" borderId="50" xfId="0" applyFont="1" applyFill="1" applyBorder="1" applyAlignment="1">
      <alignment horizontal="center" vertical="center"/>
    </xf>
    <xf numFmtId="0" fontId="22" fillId="24" borderId="51" xfId="0" applyFont="1" applyFill="1" applyBorder="1" applyAlignment="1">
      <alignment horizontal="center" vertical="center"/>
    </xf>
    <xf numFmtId="0" fontId="22" fillId="24" borderId="52" xfId="0" applyFont="1" applyFill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3" borderId="40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21" fillId="3" borderId="41" xfId="0" applyFont="1" applyFill="1" applyBorder="1" applyAlignment="1">
      <alignment horizontal="center" vertical="center" wrapText="1"/>
    </xf>
    <xf numFmtId="0" fontId="22" fillId="24" borderId="48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 shrinkToFit="1"/>
    </xf>
    <xf numFmtId="0" fontId="20" fillId="0" borderId="22" xfId="0" applyFont="1" applyBorder="1" applyAlignment="1">
      <alignment horizontal="center" vertical="center" wrapText="1" shrinkToFit="1"/>
    </xf>
    <xf numFmtId="0" fontId="20" fillId="0" borderId="41" xfId="0" applyFont="1" applyBorder="1" applyAlignment="1">
      <alignment horizontal="center" vertical="center" wrapText="1" shrinkToFit="1"/>
    </xf>
    <xf numFmtId="0" fontId="21" fillId="24" borderId="48" xfId="0" applyFont="1" applyFill="1" applyBorder="1" applyAlignment="1">
      <alignment horizontal="center" vertical="center"/>
    </xf>
    <xf numFmtId="0" fontId="21" fillId="24" borderId="49" xfId="0" applyFont="1" applyFill="1" applyBorder="1" applyAlignment="1">
      <alignment horizontal="center" vertical="center"/>
    </xf>
    <xf numFmtId="0" fontId="0" fillId="24" borderId="43" xfId="0" applyFill="1" applyBorder="1" applyAlignment="1">
      <alignment/>
    </xf>
    <xf numFmtId="0" fontId="0" fillId="3" borderId="41" xfId="0" applyFill="1" applyBorder="1" applyAlignment="1">
      <alignment/>
    </xf>
    <xf numFmtId="0" fontId="21" fillId="0" borderId="53" xfId="0" applyFont="1" applyBorder="1" applyAlignment="1">
      <alignment horizontal="center" vertical="center" wrapText="1" shrinkToFit="1"/>
    </xf>
    <xf numFmtId="0" fontId="21" fillId="0" borderId="38" xfId="0" applyFont="1" applyBorder="1" applyAlignment="1">
      <alignment horizontal="center" vertical="center" wrapText="1" shrinkToFit="1"/>
    </xf>
    <xf numFmtId="0" fontId="0" fillId="0" borderId="54" xfId="0" applyBorder="1" applyAlignment="1">
      <alignment/>
    </xf>
    <xf numFmtId="0" fontId="21" fillId="0" borderId="55" xfId="0" applyFont="1" applyBorder="1" applyAlignment="1">
      <alignment horizontal="center" vertical="center" wrapText="1" shrinkToFit="1"/>
    </xf>
    <xf numFmtId="0" fontId="21" fillId="0" borderId="45" xfId="0" applyFont="1" applyBorder="1" applyAlignment="1">
      <alignment horizontal="center" vertical="center" wrapText="1" shrinkToFit="1"/>
    </xf>
    <xf numFmtId="0" fontId="0" fillId="0" borderId="56" xfId="0" applyBorder="1" applyAlignment="1">
      <alignment/>
    </xf>
    <xf numFmtId="0" fontId="26" fillId="24" borderId="15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2" xfId="0" applyFont="1" applyBorder="1" applyAlignment="1">
      <alignment wrapText="1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47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4"/>
  <sheetViews>
    <sheetView tabSelected="1" zoomScaleSheetLayoutView="100"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9.140625" defaultRowHeight="12.75" outlineLevelCol="1"/>
  <cols>
    <col min="1" max="1" width="21.00390625" style="0" customWidth="1"/>
    <col min="2" max="2" width="10.140625" style="0" bestFit="1" customWidth="1"/>
    <col min="3" max="8" width="10.7109375" style="0" customWidth="1"/>
    <col min="9" max="16" width="11.7109375" style="0" customWidth="1"/>
    <col min="17" max="17" width="11.8515625" style="0" customWidth="1"/>
    <col min="18" max="18" width="12.28125" style="0" customWidth="1"/>
    <col min="19" max="22" width="11.7109375" style="0" customWidth="1"/>
    <col min="27" max="27" width="9.7109375" style="0" customWidth="1"/>
    <col min="28" max="28" width="10.140625" style="0" bestFit="1" customWidth="1"/>
    <col min="30" max="30" width="9.140625" style="17" customWidth="1"/>
    <col min="31" max="33" width="10.140625" style="0" hidden="1" customWidth="1" outlineLevel="1"/>
    <col min="34" max="34" width="10.140625" style="0" customWidth="1" collapsed="1"/>
    <col min="35" max="35" width="10.140625" style="19" customWidth="1"/>
    <col min="36" max="36" width="10.140625" style="0" customWidth="1"/>
    <col min="37" max="39" width="10.140625" style="0" hidden="1" customWidth="1" outlineLevel="1"/>
    <col min="40" max="40" width="10.140625" style="0" customWidth="1" collapsed="1"/>
    <col min="41" max="42" width="10.140625" style="19" customWidth="1"/>
  </cols>
  <sheetData>
    <row r="1" spans="1:10" ht="12.75">
      <c r="A1" t="s">
        <v>27</v>
      </c>
      <c r="J1" s="16" t="s">
        <v>41</v>
      </c>
    </row>
    <row r="3" spans="1:31" ht="13.5" thickBot="1">
      <c r="A3" s="16" t="s">
        <v>75</v>
      </c>
      <c r="AE3" s="16" t="s">
        <v>29</v>
      </c>
    </row>
    <row r="4" spans="1:46" ht="13.5" customHeight="1" thickBot="1">
      <c r="A4" s="133" t="s">
        <v>0</v>
      </c>
      <c r="B4" s="172" t="s">
        <v>24</v>
      </c>
      <c r="C4" s="146" t="s">
        <v>1</v>
      </c>
      <c r="D4" s="147"/>
      <c r="E4" s="147"/>
      <c r="F4" s="147"/>
      <c r="G4" s="147"/>
      <c r="H4" s="147"/>
      <c r="I4" s="148"/>
      <c r="J4" s="141" t="s">
        <v>30</v>
      </c>
      <c r="K4" s="141" t="s">
        <v>34</v>
      </c>
      <c r="L4" s="143" t="s">
        <v>2</v>
      </c>
      <c r="M4" s="144"/>
      <c r="N4" s="144"/>
      <c r="O4" s="144"/>
      <c r="P4" s="145"/>
      <c r="Q4" s="141" t="s">
        <v>37</v>
      </c>
      <c r="R4" s="141" t="s">
        <v>38</v>
      </c>
      <c r="S4" s="141" t="s">
        <v>3</v>
      </c>
      <c r="T4" s="150" t="s">
        <v>39</v>
      </c>
      <c r="U4" s="150" t="s">
        <v>40</v>
      </c>
      <c r="V4" s="153" t="s">
        <v>31</v>
      </c>
      <c r="W4" s="156" t="s">
        <v>4</v>
      </c>
      <c r="X4" s="126"/>
      <c r="Y4" s="125" t="s">
        <v>5</v>
      </c>
      <c r="Z4" s="126"/>
      <c r="AA4" s="127" t="s">
        <v>6</v>
      </c>
      <c r="AB4" s="130" t="s">
        <v>7</v>
      </c>
      <c r="AC4" s="124" t="s">
        <v>20</v>
      </c>
      <c r="AE4" s="117" t="s">
        <v>8</v>
      </c>
      <c r="AF4" s="118"/>
      <c r="AG4" s="118"/>
      <c r="AH4" s="118"/>
      <c r="AI4" s="118"/>
      <c r="AJ4" s="119"/>
      <c r="AK4" s="120" t="s">
        <v>9</v>
      </c>
      <c r="AL4" s="120"/>
      <c r="AM4" s="120"/>
      <c r="AN4" s="120"/>
      <c r="AO4" s="120"/>
      <c r="AP4" s="120"/>
      <c r="AQ4" s="120"/>
      <c r="AR4" s="120"/>
      <c r="AS4" s="100" t="s">
        <v>23</v>
      </c>
      <c r="AT4" s="103" t="s">
        <v>44</v>
      </c>
    </row>
    <row r="5" spans="1:46" ht="13.5" customHeight="1" thickBot="1">
      <c r="A5" s="134"/>
      <c r="B5" s="173"/>
      <c r="C5" s="141" t="s">
        <v>10</v>
      </c>
      <c r="D5" s="176" t="s">
        <v>11</v>
      </c>
      <c r="E5" s="177"/>
      <c r="F5" s="177"/>
      <c r="G5" s="177"/>
      <c r="H5" s="178"/>
      <c r="I5" s="179" t="s">
        <v>32</v>
      </c>
      <c r="J5" s="175"/>
      <c r="K5" s="142"/>
      <c r="L5" s="160" t="s">
        <v>12</v>
      </c>
      <c r="M5" s="161"/>
      <c r="N5" s="161"/>
      <c r="O5" s="162"/>
      <c r="P5" s="153" t="s">
        <v>13</v>
      </c>
      <c r="Q5" s="142"/>
      <c r="R5" s="142"/>
      <c r="S5" s="142"/>
      <c r="T5" s="151"/>
      <c r="U5" s="151"/>
      <c r="V5" s="154"/>
      <c r="W5" s="157" t="s">
        <v>14</v>
      </c>
      <c r="X5" s="1" t="s">
        <v>15</v>
      </c>
      <c r="Y5" s="133" t="s">
        <v>16</v>
      </c>
      <c r="Z5" s="1" t="s">
        <v>15</v>
      </c>
      <c r="AA5" s="128"/>
      <c r="AB5" s="131"/>
      <c r="AC5" s="124"/>
      <c r="AE5" s="106" t="s">
        <v>45</v>
      </c>
      <c r="AF5" s="106" t="s">
        <v>46</v>
      </c>
      <c r="AG5" s="106" t="s">
        <v>47</v>
      </c>
      <c r="AH5" s="107" t="s">
        <v>48</v>
      </c>
      <c r="AI5" s="170" t="s">
        <v>49</v>
      </c>
      <c r="AJ5" s="114" t="s">
        <v>21</v>
      </c>
      <c r="AK5" s="113" t="s">
        <v>45</v>
      </c>
      <c r="AL5" s="106" t="s">
        <v>50</v>
      </c>
      <c r="AM5" s="106" t="s">
        <v>51</v>
      </c>
      <c r="AN5" s="107" t="s">
        <v>52</v>
      </c>
      <c r="AO5" s="106" t="s">
        <v>53</v>
      </c>
      <c r="AP5" s="106" t="s">
        <v>54</v>
      </c>
      <c r="AQ5" s="107" t="s">
        <v>55</v>
      </c>
      <c r="AR5" s="110" t="s">
        <v>22</v>
      </c>
      <c r="AS5" s="101"/>
      <c r="AT5" s="104"/>
    </row>
    <row r="6" spans="1:46" ht="12.75">
      <c r="A6" s="134"/>
      <c r="B6" s="173"/>
      <c r="C6" s="142"/>
      <c r="D6" s="133" t="s">
        <v>17</v>
      </c>
      <c r="E6" s="133" t="s">
        <v>18</v>
      </c>
      <c r="F6" s="133"/>
      <c r="G6" s="133"/>
      <c r="H6" s="133"/>
      <c r="I6" s="180"/>
      <c r="J6" s="175"/>
      <c r="K6" s="142"/>
      <c r="L6" s="136" t="s">
        <v>35</v>
      </c>
      <c r="M6" s="139" t="s">
        <v>33</v>
      </c>
      <c r="N6" s="164" t="s">
        <v>36</v>
      </c>
      <c r="O6" s="167" t="s">
        <v>19</v>
      </c>
      <c r="P6" s="154"/>
      <c r="Q6" s="142"/>
      <c r="R6" s="142"/>
      <c r="S6" s="142"/>
      <c r="T6" s="151"/>
      <c r="U6" s="151"/>
      <c r="V6" s="154"/>
      <c r="W6" s="158"/>
      <c r="X6" s="121"/>
      <c r="Y6" s="134"/>
      <c r="Z6" s="121"/>
      <c r="AA6" s="128"/>
      <c r="AB6" s="131"/>
      <c r="AC6" s="124"/>
      <c r="AE6" s="106"/>
      <c r="AF6" s="106"/>
      <c r="AG6" s="106"/>
      <c r="AH6" s="108"/>
      <c r="AI6" s="170"/>
      <c r="AJ6" s="115"/>
      <c r="AK6" s="113"/>
      <c r="AL6" s="106"/>
      <c r="AM6" s="106"/>
      <c r="AN6" s="108"/>
      <c r="AO6" s="106"/>
      <c r="AP6" s="106"/>
      <c r="AQ6" s="108"/>
      <c r="AR6" s="111"/>
      <c r="AS6" s="101"/>
      <c r="AT6" s="104"/>
    </row>
    <row r="7" spans="1:46" ht="12.75">
      <c r="A7" s="134"/>
      <c r="B7" s="173"/>
      <c r="C7" s="142"/>
      <c r="D7" s="134"/>
      <c r="E7" s="134"/>
      <c r="F7" s="134"/>
      <c r="G7" s="134"/>
      <c r="H7" s="134"/>
      <c r="I7" s="180"/>
      <c r="J7" s="175"/>
      <c r="K7" s="142"/>
      <c r="L7" s="137"/>
      <c r="M7" s="140"/>
      <c r="N7" s="165"/>
      <c r="O7" s="168"/>
      <c r="P7" s="154"/>
      <c r="Q7" s="142"/>
      <c r="R7" s="142"/>
      <c r="S7" s="142"/>
      <c r="T7" s="151"/>
      <c r="U7" s="151"/>
      <c r="V7" s="154"/>
      <c r="W7" s="158"/>
      <c r="X7" s="122"/>
      <c r="Y7" s="134"/>
      <c r="Z7" s="122"/>
      <c r="AA7" s="128"/>
      <c r="AB7" s="131"/>
      <c r="AC7" s="124"/>
      <c r="AE7" s="106"/>
      <c r="AF7" s="106"/>
      <c r="AG7" s="106"/>
      <c r="AH7" s="108"/>
      <c r="AI7" s="170"/>
      <c r="AJ7" s="115"/>
      <c r="AK7" s="113"/>
      <c r="AL7" s="106"/>
      <c r="AM7" s="106"/>
      <c r="AN7" s="108"/>
      <c r="AO7" s="106"/>
      <c r="AP7" s="106"/>
      <c r="AQ7" s="108"/>
      <c r="AR7" s="111"/>
      <c r="AS7" s="101"/>
      <c r="AT7" s="104"/>
    </row>
    <row r="8" spans="1:46" ht="13.5" thickBot="1">
      <c r="A8" s="134"/>
      <c r="B8" s="173"/>
      <c r="C8" s="123"/>
      <c r="D8" s="123"/>
      <c r="E8" s="123"/>
      <c r="F8" s="123"/>
      <c r="G8" s="123"/>
      <c r="H8" s="123"/>
      <c r="I8" s="181"/>
      <c r="J8" s="123"/>
      <c r="K8" s="123"/>
      <c r="L8" s="138"/>
      <c r="M8" s="123"/>
      <c r="N8" s="166"/>
      <c r="O8" s="169"/>
      <c r="P8" s="163"/>
      <c r="Q8" s="123"/>
      <c r="R8" s="149"/>
      <c r="S8" s="149"/>
      <c r="T8" s="152"/>
      <c r="U8" s="152"/>
      <c r="V8" s="155"/>
      <c r="W8" s="159"/>
      <c r="X8" s="123"/>
      <c r="Y8" s="135"/>
      <c r="Z8" s="123"/>
      <c r="AA8" s="129"/>
      <c r="AB8" s="132"/>
      <c r="AC8" s="124"/>
      <c r="AE8" s="106"/>
      <c r="AF8" s="106"/>
      <c r="AG8" s="106"/>
      <c r="AH8" s="108"/>
      <c r="AI8" s="170"/>
      <c r="AJ8" s="115"/>
      <c r="AK8" s="113"/>
      <c r="AL8" s="106"/>
      <c r="AM8" s="106"/>
      <c r="AN8" s="108"/>
      <c r="AO8" s="106"/>
      <c r="AP8" s="106"/>
      <c r="AQ8" s="108"/>
      <c r="AR8" s="111"/>
      <c r="AS8" s="101"/>
      <c r="AT8" s="104"/>
    </row>
    <row r="9" spans="1:46" ht="12.75">
      <c r="A9" s="171"/>
      <c r="B9" s="174"/>
      <c r="C9" s="2">
        <v>1</v>
      </c>
      <c r="D9" s="3">
        <v>2</v>
      </c>
      <c r="E9" s="2">
        <v>3</v>
      </c>
      <c r="F9" s="3">
        <v>4</v>
      </c>
      <c r="G9" s="4">
        <v>5</v>
      </c>
      <c r="H9" s="2">
        <v>6</v>
      </c>
      <c r="I9" s="2">
        <v>7</v>
      </c>
      <c r="J9" s="2">
        <v>8</v>
      </c>
      <c r="K9" s="2">
        <v>9</v>
      </c>
      <c r="L9" s="3">
        <v>10</v>
      </c>
      <c r="M9" s="4">
        <v>11</v>
      </c>
      <c r="N9" s="2">
        <v>12</v>
      </c>
      <c r="O9" s="3">
        <v>13</v>
      </c>
      <c r="P9" s="3">
        <v>14</v>
      </c>
      <c r="Q9" s="2">
        <v>15</v>
      </c>
      <c r="R9" s="2">
        <v>16</v>
      </c>
      <c r="S9" s="2">
        <v>17</v>
      </c>
      <c r="T9" s="2">
        <v>18</v>
      </c>
      <c r="U9" s="2">
        <v>19</v>
      </c>
      <c r="V9" s="2">
        <v>20</v>
      </c>
      <c r="W9" s="2">
        <v>21</v>
      </c>
      <c r="X9" s="2">
        <v>22</v>
      </c>
      <c r="Y9" s="2">
        <v>23</v>
      </c>
      <c r="Z9" s="2">
        <v>24</v>
      </c>
      <c r="AA9" s="4">
        <v>25</v>
      </c>
      <c r="AB9" s="2">
        <v>26</v>
      </c>
      <c r="AC9" s="23"/>
      <c r="AE9" s="106"/>
      <c r="AF9" s="106"/>
      <c r="AG9" s="106"/>
      <c r="AH9" s="109"/>
      <c r="AI9" s="170"/>
      <c r="AJ9" s="116"/>
      <c r="AK9" s="113"/>
      <c r="AL9" s="106"/>
      <c r="AM9" s="106"/>
      <c r="AN9" s="109"/>
      <c r="AO9" s="106"/>
      <c r="AP9" s="106"/>
      <c r="AQ9" s="109"/>
      <c r="AR9" s="112"/>
      <c r="AS9" s="102"/>
      <c r="AT9" s="105"/>
    </row>
    <row r="10" spans="1:46" s="11" customFormat="1" ht="12.75">
      <c r="A10" s="5" t="s">
        <v>25</v>
      </c>
      <c r="B10" s="6" t="s">
        <v>42</v>
      </c>
      <c r="C10" s="7">
        <v>2000</v>
      </c>
      <c r="D10" s="8"/>
      <c r="E10" s="8"/>
      <c r="F10" s="8"/>
      <c r="G10" s="8"/>
      <c r="H10" s="8"/>
      <c r="I10" s="9"/>
      <c r="J10" s="8">
        <f>SUM(C10:I10)</f>
        <v>2000</v>
      </c>
      <c r="K10" s="8">
        <f>J10-I10-F10</f>
        <v>2000</v>
      </c>
      <c r="L10" s="8">
        <f>ROUND(K10*9.76%,2)</f>
        <v>195.2</v>
      </c>
      <c r="M10" s="8">
        <f>ROUND(K10*1.5%,2)</f>
        <v>30</v>
      </c>
      <c r="N10" s="8">
        <f>ROUND(K10*2.45%,2)</f>
        <v>49</v>
      </c>
      <c r="O10" s="8">
        <f>SUM(L10:N10)</f>
        <v>274.2</v>
      </c>
      <c r="P10" s="8">
        <v>111.25</v>
      </c>
      <c r="Q10" s="8">
        <f>J10-O10-F10</f>
        <v>1725.8</v>
      </c>
      <c r="R10" s="8">
        <f>ROUND(J10-O10-P10,0)</f>
        <v>1615</v>
      </c>
      <c r="S10" s="8">
        <f>ROUND(U10+V10,2)</f>
        <v>266.32</v>
      </c>
      <c r="T10" s="8">
        <f>ROUND(Q10*7.75%,2)</f>
        <v>133.75</v>
      </c>
      <c r="U10" s="8">
        <f>ROUND(Q10*9%,2)</f>
        <v>155.32</v>
      </c>
      <c r="V10" s="8">
        <f>ROUND(((R10*18%)-46.34)-T10,0)</f>
        <v>111</v>
      </c>
      <c r="W10" s="8">
        <v>0</v>
      </c>
      <c r="X10" s="8">
        <v>0</v>
      </c>
      <c r="Y10" s="8">
        <v>0</v>
      </c>
      <c r="Z10" s="8">
        <v>0</v>
      </c>
      <c r="AA10" s="10">
        <f>J10-O10-U10-V10-W10-X10+Y10+Z10</f>
        <v>1459.48</v>
      </c>
      <c r="AB10" s="21"/>
      <c r="AC10" s="24"/>
      <c r="AD10" s="18">
        <f>AC10-AA10</f>
        <v>-1459.48</v>
      </c>
      <c r="AE10" s="8">
        <f>ROUND(K10*9.76%,2)</f>
        <v>195.2</v>
      </c>
      <c r="AF10" s="8">
        <f>ROUND(K10*1.5%,2)</f>
        <v>30</v>
      </c>
      <c r="AG10" s="8">
        <f>ROUND(K10*2.45%,2)</f>
        <v>49</v>
      </c>
      <c r="AH10" s="20">
        <f>SUM(AE10:AG10)</f>
        <v>274.2</v>
      </c>
      <c r="AI10" s="8">
        <f>ROUND(Q10*9%,2)</f>
        <v>155.32</v>
      </c>
      <c r="AJ10" s="28">
        <f>SUM(AH10:AI10)</f>
        <v>429.52</v>
      </c>
      <c r="AK10" s="7">
        <f>ROUND(K10*9.76%,2)</f>
        <v>195.2</v>
      </c>
      <c r="AL10" s="8">
        <f>ROUND(K10*6.5%,2)</f>
        <v>130</v>
      </c>
      <c r="AM10" s="8">
        <f>ROUND(K10*1.93%,2)</f>
        <v>38.6</v>
      </c>
      <c r="AN10" s="20">
        <f>SUM(AK10:AM10)</f>
        <v>363.8</v>
      </c>
      <c r="AO10" s="8">
        <f>ROUND(K10*2.45%,2)</f>
        <v>49</v>
      </c>
      <c r="AP10" s="8">
        <f>ROUND(K10*0.1%,2)</f>
        <v>2</v>
      </c>
      <c r="AQ10" s="20">
        <f>SUM(AO10:AP10)</f>
        <v>51</v>
      </c>
      <c r="AR10" s="29">
        <f>SUM(AN10,AQ10)</f>
        <v>414.8</v>
      </c>
      <c r="AS10" s="30">
        <f>SUM(AJ10,AR10)</f>
        <v>844.3199999999999</v>
      </c>
      <c r="AT10" s="31">
        <f>V10</f>
        <v>111</v>
      </c>
    </row>
    <row r="11" spans="1:46" s="11" customFormat="1" ht="12.75">
      <c r="A11" s="5" t="s">
        <v>26</v>
      </c>
      <c r="B11" s="6" t="s">
        <v>42</v>
      </c>
      <c r="C11" s="7">
        <v>3000</v>
      </c>
      <c r="D11" s="8"/>
      <c r="E11" s="8"/>
      <c r="F11" s="8"/>
      <c r="G11" s="8"/>
      <c r="H11" s="8"/>
      <c r="I11" s="9"/>
      <c r="J11" s="8">
        <f>SUM(C11:I11)</f>
        <v>3000</v>
      </c>
      <c r="K11" s="8">
        <f>J11-I11-F11</f>
        <v>3000</v>
      </c>
      <c r="L11" s="8">
        <f>ROUND(K11*9.76%,2)</f>
        <v>292.8</v>
      </c>
      <c r="M11" s="8">
        <f>ROUND(K11*1.5%,2)</f>
        <v>45</v>
      </c>
      <c r="N11" s="8">
        <f>ROUND(K11*2.45%,2)</f>
        <v>73.5</v>
      </c>
      <c r="O11" s="8">
        <f>SUM(L11:N11)</f>
        <v>411.3</v>
      </c>
      <c r="P11" s="8">
        <v>111.25</v>
      </c>
      <c r="Q11" s="8">
        <f>J11-O11-F11</f>
        <v>2588.7</v>
      </c>
      <c r="R11" s="8">
        <f>ROUND(J11-O11-P11,0)</f>
        <v>2477</v>
      </c>
      <c r="S11" s="8">
        <f>ROUND(U11+V11,2)</f>
        <v>431.98</v>
      </c>
      <c r="T11" s="8">
        <f>ROUND(Q11*7.75%,2)</f>
        <v>200.62</v>
      </c>
      <c r="U11" s="8">
        <f>ROUND(Q11*9%,2)</f>
        <v>232.98</v>
      </c>
      <c r="V11" s="8">
        <f>ROUND(((R11*18%)-46.34)-T11,0)</f>
        <v>199</v>
      </c>
      <c r="W11" s="8">
        <v>0</v>
      </c>
      <c r="X11" s="8">
        <v>0</v>
      </c>
      <c r="Y11" s="8">
        <v>0</v>
      </c>
      <c r="Z11" s="8">
        <v>0</v>
      </c>
      <c r="AA11" s="10">
        <f>J11-O11-U11-V11-W11-X11+Y11+Z11</f>
        <v>2156.72</v>
      </c>
      <c r="AB11" s="21"/>
      <c r="AC11" s="24"/>
      <c r="AD11" s="18">
        <f>AC11-AA11</f>
        <v>-2156.72</v>
      </c>
      <c r="AE11" s="8">
        <f>ROUND(K11*9.76%,2)</f>
        <v>292.8</v>
      </c>
      <c r="AF11" s="8">
        <f>ROUND(K11*1.5%,2)</f>
        <v>45</v>
      </c>
      <c r="AG11" s="8">
        <f>ROUND(K11*2.45%,2)</f>
        <v>73.5</v>
      </c>
      <c r="AH11" s="20">
        <f>SUM(AE11:AG11)</f>
        <v>411.3</v>
      </c>
      <c r="AI11" s="8">
        <f>ROUND(Q11*9%,2)</f>
        <v>232.98</v>
      </c>
      <c r="AJ11" s="28">
        <f>SUM(AH11:AI11)</f>
        <v>644.28</v>
      </c>
      <c r="AK11" s="7">
        <f>ROUND(K11*9.76%,2)</f>
        <v>292.8</v>
      </c>
      <c r="AL11" s="8">
        <f>ROUND(K11*6.5%,2)</f>
        <v>195</v>
      </c>
      <c r="AM11" s="8">
        <f>ROUND(K11*1.93%,2)</f>
        <v>57.9</v>
      </c>
      <c r="AN11" s="20">
        <f>SUM(AK11:AM11)</f>
        <v>545.7</v>
      </c>
      <c r="AO11" s="8">
        <f>ROUND(K11*2.45%,2)</f>
        <v>73.5</v>
      </c>
      <c r="AP11" s="8">
        <f>ROUND(K11*0.1%,2)</f>
        <v>3</v>
      </c>
      <c r="AQ11" s="20">
        <f>SUM(AO11:AP11)</f>
        <v>76.5</v>
      </c>
      <c r="AR11" s="29">
        <f>SUM(AN11,AQ11)</f>
        <v>622.2</v>
      </c>
      <c r="AS11" s="30">
        <f>SUM(AJ11,AR11)</f>
        <v>1266.48</v>
      </c>
      <c r="AT11" s="31">
        <f>V11</f>
        <v>199</v>
      </c>
    </row>
    <row r="12" spans="1:46" ht="13.5" thickBot="1">
      <c r="A12" s="12" t="s">
        <v>43</v>
      </c>
      <c r="B12" s="13"/>
      <c r="C12" s="14">
        <f aca="true" t="shared" si="0" ref="C12:AA12">SUM(C10:C11)</f>
        <v>5000</v>
      </c>
      <c r="D12" s="14">
        <f t="shared" si="0"/>
        <v>0</v>
      </c>
      <c r="E12" s="14">
        <f t="shared" si="0"/>
        <v>0</v>
      </c>
      <c r="F12" s="14">
        <f t="shared" si="0"/>
        <v>0</v>
      </c>
      <c r="G12" s="14">
        <f t="shared" si="0"/>
        <v>0</v>
      </c>
      <c r="H12" s="14">
        <f t="shared" si="0"/>
        <v>0</v>
      </c>
      <c r="I12" s="14">
        <f t="shared" si="0"/>
        <v>0</v>
      </c>
      <c r="J12" s="14">
        <f t="shared" si="0"/>
        <v>5000</v>
      </c>
      <c r="K12" s="14">
        <f t="shared" si="0"/>
        <v>5000</v>
      </c>
      <c r="L12" s="14">
        <f t="shared" si="0"/>
        <v>488</v>
      </c>
      <c r="M12" s="14">
        <f t="shared" si="0"/>
        <v>75</v>
      </c>
      <c r="N12" s="14">
        <f t="shared" si="0"/>
        <v>122.5</v>
      </c>
      <c r="O12" s="14">
        <f t="shared" si="0"/>
        <v>685.5</v>
      </c>
      <c r="P12" s="14">
        <f t="shared" si="0"/>
        <v>222.5</v>
      </c>
      <c r="Q12" s="14">
        <f t="shared" si="0"/>
        <v>4314.5</v>
      </c>
      <c r="R12" s="14">
        <f t="shared" si="0"/>
        <v>4092</v>
      </c>
      <c r="S12" s="14">
        <f t="shared" si="0"/>
        <v>698.3</v>
      </c>
      <c r="T12" s="14">
        <f t="shared" si="0"/>
        <v>334.37</v>
      </c>
      <c r="U12" s="14">
        <f t="shared" si="0"/>
        <v>388.29999999999995</v>
      </c>
      <c r="V12" s="14">
        <f t="shared" si="0"/>
        <v>310</v>
      </c>
      <c r="W12" s="14">
        <f t="shared" si="0"/>
        <v>0</v>
      </c>
      <c r="X12" s="14">
        <f t="shared" si="0"/>
        <v>0</v>
      </c>
      <c r="Y12" s="14">
        <f t="shared" si="0"/>
        <v>0</v>
      </c>
      <c r="Z12" s="14">
        <f t="shared" si="0"/>
        <v>0</v>
      </c>
      <c r="AA12" s="14">
        <f t="shared" si="0"/>
        <v>3616.2</v>
      </c>
      <c r="AB12" s="22"/>
      <c r="AC12" s="25">
        <f>SUM(AC10:AC11)</f>
        <v>0</v>
      </c>
      <c r="AD12" s="18">
        <f>AC12-AA12</f>
        <v>-3616.2</v>
      </c>
      <c r="AE12" s="15">
        <f aca="true" t="shared" si="1" ref="AE12:AT12">SUM(AE10:AE11)</f>
        <v>488</v>
      </c>
      <c r="AF12" s="15">
        <f t="shared" si="1"/>
        <v>75</v>
      </c>
      <c r="AG12" s="15">
        <f t="shared" si="1"/>
        <v>122.5</v>
      </c>
      <c r="AH12" s="15">
        <f t="shared" si="1"/>
        <v>685.5</v>
      </c>
      <c r="AI12" s="15">
        <f t="shared" si="1"/>
        <v>388.29999999999995</v>
      </c>
      <c r="AJ12" s="32">
        <f t="shared" si="1"/>
        <v>1073.8</v>
      </c>
      <c r="AK12" s="33">
        <f t="shared" si="1"/>
        <v>488</v>
      </c>
      <c r="AL12" s="15">
        <f t="shared" si="1"/>
        <v>325</v>
      </c>
      <c r="AM12" s="15">
        <f t="shared" si="1"/>
        <v>96.5</v>
      </c>
      <c r="AN12" s="15">
        <f t="shared" si="1"/>
        <v>909.5</v>
      </c>
      <c r="AO12" s="15">
        <f t="shared" si="1"/>
        <v>122.5</v>
      </c>
      <c r="AP12" s="15">
        <f t="shared" si="1"/>
        <v>5</v>
      </c>
      <c r="AQ12" s="15">
        <f t="shared" si="1"/>
        <v>127.5</v>
      </c>
      <c r="AR12" s="34">
        <f t="shared" si="1"/>
        <v>1037</v>
      </c>
      <c r="AS12" s="35">
        <f t="shared" si="1"/>
        <v>2110.8</v>
      </c>
      <c r="AT12" s="33">
        <f t="shared" si="1"/>
        <v>310</v>
      </c>
    </row>
    <row r="13" ht="12.75">
      <c r="AD13" s="18"/>
    </row>
    <row r="14" ht="12.75">
      <c r="AD14" s="18"/>
    </row>
    <row r="15" spans="1:46" ht="12.75">
      <c r="A15" s="37" t="s">
        <v>76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E15" s="27"/>
      <c r="AF15" s="27"/>
      <c r="AG15" s="27"/>
      <c r="AH15" s="19"/>
      <c r="AI15" s="27"/>
      <c r="AJ15" s="19"/>
      <c r="AK15" s="27"/>
      <c r="AL15" s="27"/>
      <c r="AM15" s="27"/>
      <c r="AN15" s="19"/>
      <c r="AO15" s="27"/>
      <c r="AP15" s="27"/>
      <c r="AQ15" s="19"/>
      <c r="AR15" s="19"/>
      <c r="AS15" s="19"/>
      <c r="AT15" s="19"/>
    </row>
    <row r="16" spans="1:46" ht="67.5">
      <c r="A16" s="38" t="s">
        <v>57</v>
      </c>
      <c r="B16" s="39" t="s">
        <v>58</v>
      </c>
      <c r="C16" s="40" t="s">
        <v>59</v>
      </c>
      <c r="D16" s="41"/>
      <c r="E16" s="41"/>
      <c r="F16" s="41"/>
      <c r="G16" s="41"/>
      <c r="H16" s="41"/>
      <c r="I16" s="41"/>
      <c r="J16" s="41"/>
      <c r="K16" s="40" t="s">
        <v>60</v>
      </c>
      <c r="L16" s="42" t="s">
        <v>61</v>
      </c>
      <c r="M16" s="42" t="s">
        <v>62</v>
      </c>
      <c r="N16" s="42" t="s">
        <v>63</v>
      </c>
      <c r="O16" s="40" t="s">
        <v>64</v>
      </c>
      <c r="P16" s="43" t="s">
        <v>65</v>
      </c>
      <c r="Q16" s="40" t="s">
        <v>66</v>
      </c>
      <c r="R16" s="44" t="s">
        <v>67</v>
      </c>
      <c r="S16" s="42" t="s">
        <v>68</v>
      </c>
      <c r="T16" s="42" t="s">
        <v>69</v>
      </c>
      <c r="U16" s="42" t="s">
        <v>70</v>
      </c>
      <c r="V16" s="45" t="s">
        <v>71</v>
      </c>
      <c r="W16" s="41"/>
      <c r="X16" s="41"/>
      <c r="Y16" s="41"/>
      <c r="Z16" s="41"/>
      <c r="AA16" s="40" t="s">
        <v>72</v>
      </c>
      <c r="AB16" s="42" t="s">
        <v>7</v>
      </c>
      <c r="AC16" s="46" t="s">
        <v>20</v>
      </c>
      <c r="AD16" s="47"/>
      <c r="AE16" s="42" t="s">
        <v>45</v>
      </c>
      <c r="AF16" s="42" t="s">
        <v>46</v>
      </c>
      <c r="AG16" s="42" t="s">
        <v>47</v>
      </c>
      <c r="AH16" s="48" t="s">
        <v>48</v>
      </c>
      <c r="AI16" s="49" t="s">
        <v>49</v>
      </c>
      <c r="AJ16" s="50" t="s">
        <v>21</v>
      </c>
      <c r="AK16" s="51" t="s">
        <v>45</v>
      </c>
      <c r="AL16" s="42" t="s">
        <v>50</v>
      </c>
      <c r="AM16" s="42" t="s">
        <v>73</v>
      </c>
      <c r="AN16" s="48" t="s">
        <v>52</v>
      </c>
      <c r="AO16" s="42" t="s">
        <v>74</v>
      </c>
      <c r="AP16" s="42" t="s">
        <v>54</v>
      </c>
      <c r="AQ16" s="52" t="s">
        <v>55</v>
      </c>
      <c r="AR16" s="53" t="s">
        <v>22</v>
      </c>
      <c r="AS16" s="54" t="s">
        <v>23</v>
      </c>
      <c r="AT16" s="55" t="s">
        <v>44</v>
      </c>
    </row>
    <row r="17" spans="1:46" ht="12.75">
      <c r="A17" s="56" t="s">
        <v>77</v>
      </c>
      <c r="B17" s="57"/>
      <c r="C17" s="88">
        <v>500</v>
      </c>
      <c r="D17" s="58"/>
      <c r="E17" s="58"/>
      <c r="F17" s="58"/>
      <c r="G17" s="58"/>
      <c r="H17" s="58"/>
      <c r="I17" s="58"/>
      <c r="J17" s="58"/>
      <c r="K17" s="59">
        <f>C17</f>
        <v>500</v>
      </c>
      <c r="L17" s="59">
        <f>ROUND(0.0976*$K17,2)</f>
        <v>48.8</v>
      </c>
      <c r="M17" s="59">
        <f>ROUND(0.015*$K17,2)</f>
        <v>7.5</v>
      </c>
      <c r="N17" s="58"/>
      <c r="O17" s="59">
        <f>SUM(L17:N17)</f>
        <v>56.3</v>
      </c>
      <c r="P17" s="60">
        <f>ROUND(0.2*Q17,2)</f>
        <v>88.74</v>
      </c>
      <c r="Q17" s="63">
        <f>C17-SUM(L17:N17)</f>
        <v>443.7</v>
      </c>
      <c r="R17" s="63">
        <f>ROUND(Q17-P17,0)</f>
        <v>355</v>
      </c>
      <c r="S17" s="59">
        <f>ROUND(0.18*R17,2)</f>
        <v>63.9</v>
      </c>
      <c r="T17" s="59">
        <f>ROUND(0.0775*$Q17,2)</f>
        <v>34.39</v>
      </c>
      <c r="U17" s="59">
        <f>ROUND(0.09*$Q17,2)</f>
        <v>39.93</v>
      </c>
      <c r="V17" s="59">
        <f>ROUND(S17-T17,0)</f>
        <v>30</v>
      </c>
      <c r="W17" s="58"/>
      <c r="X17" s="58"/>
      <c r="Y17" s="58"/>
      <c r="Z17" s="58"/>
      <c r="AA17" s="61">
        <f>C17-SUM(L17:N17)-U17-V17</f>
        <v>373.77</v>
      </c>
      <c r="AB17" s="62"/>
      <c r="AC17" s="63"/>
      <c r="AD17" s="64">
        <f>AC17-AA17</f>
        <v>-373.77</v>
      </c>
      <c r="AE17" s="65">
        <f>ROUND(K17*9.76%,2)</f>
        <v>48.8</v>
      </c>
      <c r="AF17" s="65">
        <f>ROUND(K17*1.5%,2)</f>
        <v>7.5</v>
      </c>
      <c r="AG17" s="66"/>
      <c r="AH17" s="67">
        <f>SUM(AE17:AG17)</f>
        <v>56.3</v>
      </c>
      <c r="AI17" s="65">
        <f>ROUND(Q17*9%,2)</f>
        <v>39.93</v>
      </c>
      <c r="AJ17" s="68">
        <f>SUM(AH17:AI17)</f>
        <v>96.22999999999999</v>
      </c>
      <c r="AK17" s="69">
        <f>ROUND(K17*9.76%,2)</f>
        <v>48.8</v>
      </c>
      <c r="AL17" s="65">
        <f>ROUND(K17*6.5%,2)</f>
        <v>32.5</v>
      </c>
      <c r="AM17" s="65">
        <f>ROUND(K17*1.93%,2)</f>
        <v>9.65</v>
      </c>
      <c r="AN17" s="67">
        <f>SUM(AK17:AM17)</f>
        <v>90.95</v>
      </c>
      <c r="AO17" s="66"/>
      <c r="AP17" s="65">
        <f>ROUND(K17*0.1%,2)</f>
        <v>0.5</v>
      </c>
      <c r="AQ17" s="70">
        <f>SUM(AO17:AP17)</f>
        <v>0.5</v>
      </c>
      <c r="AR17" s="70">
        <f>SUM(AN17,AQ17)</f>
        <v>91.45</v>
      </c>
      <c r="AS17" s="71">
        <f>SUM(AJ17,AR17)</f>
        <v>187.68</v>
      </c>
      <c r="AT17" s="72">
        <f>V17</f>
        <v>30</v>
      </c>
    </row>
    <row r="18" spans="1:46" ht="12.75">
      <c r="A18" s="56" t="s">
        <v>78</v>
      </c>
      <c r="B18" s="57"/>
      <c r="C18" s="88">
        <v>1200</v>
      </c>
      <c r="D18" s="58"/>
      <c r="E18" s="58"/>
      <c r="F18" s="58"/>
      <c r="G18" s="58"/>
      <c r="H18" s="58"/>
      <c r="I18" s="58"/>
      <c r="J18" s="58"/>
      <c r="K18" s="59">
        <f>C18</f>
        <v>1200</v>
      </c>
      <c r="L18" s="58"/>
      <c r="M18" s="58"/>
      <c r="N18" s="58"/>
      <c r="O18" s="59">
        <f>SUM(L18:N18)</f>
        <v>0</v>
      </c>
      <c r="P18" s="60">
        <f>ROUND(0.5*Q18,2)</f>
        <v>600</v>
      </c>
      <c r="Q18" s="63">
        <f>C18-SUM(L18:N18)</f>
        <v>1200</v>
      </c>
      <c r="R18" s="63">
        <f>ROUND(Q18-P18,0)</f>
        <v>600</v>
      </c>
      <c r="S18" s="59">
        <f>ROUND(0.18*R18,2)</f>
        <v>108</v>
      </c>
      <c r="T18" s="58"/>
      <c r="U18" s="58"/>
      <c r="V18" s="59">
        <f>ROUND(S18-T18,0)</f>
        <v>108</v>
      </c>
      <c r="W18" s="58"/>
      <c r="X18" s="58"/>
      <c r="Y18" s="58"/>
      <c r="Z18" s="58"/>
      <c r="AA18" s="61">
        <f>C18-SUM(L18:N18)-U18-V18</f>
        <v>1092</v>
      </c>
      <c r="AB18" s="62"/>
      <c r="AC18" s="63"/>
      <c r="AD18" s="64">
        <f>AC18-AA18</f>
        <v>-1092</v>
      </c>
      <c r="AE18" s="66"/>
      <c r="AF18" s="66"/>
      <c r="AG18" s="66"/>
      <c r="AH18" s="73"/>
      <c r="AI18" s="66"/>
      <c r="AJ18" s="74"/>
      <c r="AK18" s="75"/>
      <c r="AL18" s="66"/>
      <c r="AM18" s="66"/>
      <c r="AN18" s="73"/>
      <c r="AO18" s="66"/>
      <c r="AP18" s="66"/>
      <c r="AQ18" s="76"/>
      <c r="AR18" s="76"/>
      <c r="AS18" s="77"/>
      <c r="AT18" s="72">
        <f>V18</f>
        <v>108</v>
      </c>
    </row>
    <row r="19" spans="1:46" ht="12.75">
      <c r="A19" s="89" t="s">
        <v>56</v>
      </c>
      <c r="B19" s="78"/>
      <c r="C19" s="61">
        <f>SUM(C17:C18)</f>
        <v>1700</v>
      </c>
      <c r="D19" s="79"/>
      <c r="E19" s="79"/>
      <c r="F19" s="79"/>
      <c r="G19" s="79"/>
      <c r="H19" s="79"/>
      <c r="I19" s="79"/>
      <c r="J19" s="79"/>
      <c r="K19" s="80">
        <f aca="true" t="shared" si="2" ref="K19:V19">SUM(K17:K18)</f>
        <v>1700</v>
      </c>
      <c r="L19" s="80">
        <f t="shared" si="2"/>
        <v>48.8</v>
      </c>
      <c r="M19" s="80">
        <f t="shared" si="2"/>
        <v>7.5</v>
      </c>
      <c r="N19" s="80">
        <f t="shared" si="2"/>
        <v>0</v>
      </c>
      <c r="O19" s="80">
        <f t="shared" si="2"/>
        <v>56.3</v>
      </c>
      <c r="P19" s="80">
        <f t="shared" si="2"/>
        <v>688.74</v>
      </c>
      <c r="Q19" s="80">
        <f t="shared" si="2"/>
        <v>1643.7</v>
      </c>
      <c r="R19" s="80">
        <f t="shared" si="2"/>
        <v>955</v>
      </c>
      <c r="S19" s="80">
        <f t="shared" si="2"/>
        <v>171.9</v>
      </c>
      <c r="T19" s="80">
        <f t="shared" si="2"/>
        <v>34.39</v>
      </c>
      <c r="U19" s="80">
        <f t="shared" si="2"/>
        <v>39.93</v>
      </c>
      <c r="V19" s="80">
        <f t="shared" si="2"/>
        <v>138</v>
      </c>
      <c r="W19" s="79"/>
      <c r="X19" s="79"/>
      <c r="Y19" s="79"/>
      <c r="Z19" s="79"/>
      <c r="AA19" s="61">
        <f>SUM(AA17:AA18)</f>
        <v>1465.77</v>
      </c>
      <c r="AB19" s="81"/>
      <c r="AC19" s="80">
        <f>SUM(AC17:AC18)</f>
        <v>0</v>
      </c>
      <c r="AD19" s="82">
        <f>AC19-AA19</f>
        <v>-1465.77</v>
      </c>
      <c r="AE19" s="67">
        <f aca="true" t="shared" si="3" ref="AE19:AT19">SUM(AE17:AE18)</f>
        <v>48.8</v>
      </c>
      <c r="AF19" s="67">
        <f t="shared" si="3"/>
        <v>7.5</v>
      </c>
      <c r="AG19" s="67">
        <f t="shared" si="3"/>
        <v>0</v>
      </c>
      <c r="AH19" s="67">
        <f t="shared" si="3"/>
        <v>56.3</v>
      </c>
      <c r="AI19" s="67">
        <f t="shared" si="3"/>
        <v>39.93</v>
      </c>
      <c r="AJ19" s="68">
        <f t="shared" si="3"/>
        <v>96.22999999999999</v>
      </c>
      <c r="AK19" s="72">
        <f t="shared" si="3"/>
        <v>48.8</v>
      </c>
      <c r="AL19" s="67">
        <f t="shared" si="3"/>
        <v>32.5</v>
      </c>
      <c r="AM19" s="67">
        <f t="shared" si="3"/>
        <v>9.65</v>
      </c>
      <c r="AN19" s="67">
        <f t="shared" si="3"/>
        <v>90.95</v>
      </c>
      <c r="AO19" s="67">
        <f t="shared" si="3"/>
        <v>0</v>
      </c>
      <c r="AP19" s="67">
        <f t="shared" si="3"/>
        <v>0.5</v>
      </c>
      <c r="AQ19" s="70">
        <f t="shared" si="3"/>
        <v>0.5</v>
      </c>
      <c r="AR19" s="70">
        <f t="shared" si="3"/>
        <v>91.45</v>
      </c>
      <c r="AS19" s="71">
        <f t="shared" si="3"/>
        <v>187.68</v>
      </c>
      <c r="AT19" s="72">
        <f t="shared" si="3"/>
        <v>138</v>
      </c>
    </row>
    <row r="20" spans="1:47" ht="12.75">
      <c r="A20" s="37"/>
      <c r="B20" s="8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84"/>
      <c r="W20" s="27"/>
      <c r="X20" s="27"/>
      <c r="Y20" s="27"/>
      <c r="Z20" s="27"/>
      <c r="AA20" s="27"/>
      <c r="AB20" s="27"/>
      <c r="AC20" s="27"/>
      <c r="AE20" s="27"/>
      <c r="AF20" s="27"/>
      <c r="AG20" s="27"/>
      <c r="AH20" s="96"/>
      <c r="AI20" s="26"/>
      <c r="AJ20" s="96"/>
      <c r="AK20" s="26"/>
      <c r="AL20" s="26"/>
      <c r="AM20" s="26"/>
      <c r="AN20" s="96"/>
      <c r="AO20" s="26"/>
      <c r="AP20" s="26"/>
      <c r="AQ20" s="96"/>
      <c r="AR20" s="96"/>
      <c r="AS20" s="96"/>
      <c r="AT20" s="96"/>
      <c r="AU20" s="11"/>
    </row>
    <row r="21" spans="1:48" ht="12.75">
      <c r="A21" s="85" t="s">
        <v>79</v>
      </c>
      <c r="B21" s="86"/>
      <c r="C21" s="36">
        <f>SUM(C12,C19)</f>
        <v>6700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93">
        <f>SUM(AA12,AA19)</f>
        <v>5081.969999999999</v>
      </c>
      <c r="AB21" s="94"/>
      <c r="AC21" s="93">
        <f aca="true" t="shared" si="4" ref="AC21:AT21">SUM(AC12,AC19)</f>
        <v>0</v>
      </c>
      <c r="AD21" s="90">
        <f t="shared" si="4"/>
        <v>-5081.969999999999</v>
      </c>
      <c r="AE21" s="91">
        <f t="shared" si="4"/>
        <v>536.8</v>
      </c>
      <c r="AF21" s="91">
        <f t="shared" si="4"/>
        <v>82.5</v>
      </c>
      <c r="AG21" s="91">
        <f t="shared" si="4"/>
        <v>122.5</v>
      </c>
      <c r="AH21" s="87">
        <f t="shared" si="4"/>
        <v>741.8</v>
      </c>
      <c r="AI21" s="91">
        <f t="shared" si="4"/>
        <v>428.22999999999996</v>
      </c>
      <c r="AJ21" s="99">
        <f t="shared" si="4"/>
        <v>1170.03</v>
      </c>
      <c r="AK21" s="91">
        <f t="shared" si="4"/>
        <v>536.8</v>
      </c>
      <c r="AL21" s="91">
        <f t="shared" si="4"/>
        <v>357.5</v>
      </c>
      <c r="AM21" s="91">
        <f t="shared" si="4"/>
        <v>106.15</v>
      </c>
      <c r="AN21" s="87">
        <f t="shared" si="4"/>
        <v>1000.45</v>
      </c>
      <c r="AO21" s="91">
        <f t="shared" si="4"/>
        <v>122.5</v>
      </c>
      <c r="AP21" s="91">
        <f t="shared" si="4"/>
        <v>5.5</v>
      </c>
      <c r="AQ21" s="87">
        <f t="shared" si="4"/>
        <v>128</v>
      </c>
      <c r="AR21" s="99">
        <f t="shared" si="4"/>
        <v>1128.45</v>
      </c>
      <c r="AS21" s="99">
        <f t="shared" si="4"/>
        <v>2298.48</v>
      </c>
      <c r="AT21" s="99">
        <f t="shared" si="4"/>
        <v>448</v>
      </c>
      <c r="AU21" s="97"/>
      <c r="AV21" s="92"/>
    </row>
    <row r="22" spans="27:48" ht="12.75">
      <c r="AA22" s="92"/>
      <c r="AB22" s="92"/>
      <c r="AC22" s="92"/>
      <c r="AD22" s="95"/>
      <c r="AE22" s="92"/>
      <c r="AF22" s="92"/>
      <c r="AG22" s="92"/>
      <c r="AH22" s="97"/>
      <c r="AI22" s="98"/>
      <c r="AJ22" s="97"/>
      <c r="AK22" s="97"/>
      <c r="AL22" s="97"/>
      <c r="AM22" s="97"/>
      <c r="AN22" s="97"/>
      <c r="AO22" s="98"/>
      <c r="AP22" s="98"/>
      <c r="AQ22" s="97"/>
      <c r="AR22" s="97"/>
      <c r="AS22" s="97"/>
      <c r="AT22" s="97"/>
      <c r="AU22" s="97"/>
      <c r="AV22" s="92"/>
    </row>
    <row r="23" spans="34:47" ht="12.75">
      <c r="AH23" s="11"/>
      <c r="AI23" s="96"/>
      <c r="AJ23" s="11"/>
      <c r="AK23" s="11"/>
      <c r="AL23" s="11"/>
      <c r="AM23" s="11"/>
      <c r="AN23" s="11"/>
      <c r="AO23" s="96"/>
      <c r="AP23" s="96"/>
      <c r="AQ23" s="11"/>
      <c r="AR23" s="11"/>
      <c r="AS23" s="11"/>
      <c r="AT23" s="11"/>
      <c r="AU23" s="11"/>
    </row>
    <row r="24" spans="1:47" ht="12.75">
      <c r="A24" t="s">
        <v>28</v>
      </c>
      <c r="AH24" s="11"/>
      <c r="AI24" s="96"/>
      <c r="AJ24" s="11"/>
      <c r="AK24" s="11"/>
      <c r="AL24" s="11"/>
      <c r="AM24" s="11"/>
      <c r="AN24" s="11"/>
      <c r="AO24" s="96"/>
      <c r="AP24" s="96"/>
      <c r="AQ24" s="11"/>
      <c r="AR24" s="11"/>
      <c r="AS24" s="11"/>
      <c r="AT24" s="11"/>
      <c r="AU24" s="11"/>
    </row>
  </sheetData>
  <sheetProtection/>
  <mergeCells count="53">
    <mergeCell ref="AG5:AG9"/>
    <mergeCell ref="AH5:AH9"/>
    <mergeCell ref="AI5:AI9"/>
    <mergeCell ref="A4:A9"/>
    <mergeCell ref="B4:B9"/>
    <mergeCell ref="J4:J8"/>
    <mergeCell ref="C5:C8"/>
    <mergeCell ref="D5:H5"/>
    <mergeCell ref="I5:I8"/>
    <mergeCell ref="D6:D8"/>
    <mergeCell ref="E6:E8"/>
    <mergeCell ref="F6:F8"/>
    <mergeCell ref="Q4:Q8"/>
    <mergeCell ref="R4:R8"/>
    <mergeCell ref="L5:O5"/>
    <mergeCell ref="P5:P8"/>
    <mergeCell ref="N6:N8"/>
    <mergeCell ref="O6:O8"/>
    <mergeCell ref="U4:U8"/>
    <mergeCell ref="V4:V8"/>
    <mergeCell ref="W4:X4"/>
    <mergeCell ref="X6:X8"/>
    <mergeCell ref="W5:W8"/>
    <mergeCell ref="Y5:Y8"/>
    <mergeCell ref="G6:G8"/>
    <mergeCell ref="H6:H8"/>
    <mergeCell ref="L6:L8"/>
    <mergeCell ref="M6:M8"/>
    <mergeCell ref="K4:K8"/>
    <mergeCell ref="L4:P4"/>
    <mergeCell ref="C4:I4"/>
    <mergeCell ref="S4:S8"/>
    <mergeCell ref="T4:T8"/>
    <mergeCell ref="AJ5:AJ9"/>
    <mergeCell ref="AE4:AJ4"/>
    <mergeCell ref="AK4:AR4"/>
    <mergeCell ref="Z6:Z8"/>
    <mergeCell ref="AC4:AC8"/>
    <mergeCell ref="Y4:Z4"/>
    <mergeCell ref="AA4:AA8"/>
    <mergeCell ref="AB4:AB8"/>
    <mergeCell ref="AE5:AE9"/>
    <mergeCell ref="AF5:AF9"/>
    <mergeCell ref="AN5:AN9"/>
    <mergeCell ref="AO5:AO9"/>
    <mergeCell ref="AK5:AK9"/>
    <mergeCell ref="AL5:AL9"/>
    <mergeCell ref="AM5:AM9"/>
    <mergeCell ref="AS4:AS9"/>
    <mergeCell ref="AT4:AT9"/>
    <mergeCell ref="AP5:AP9"/>
    <mergeCell ref="AQ5:AQ9"/>
    <mergeCell ref="AR5:AR9"/>
  </mergeCells>
  <conditionalFormatting sqref="AD1:AD65536">
    <cfRule type="cellIs" priority="1" dxfId="0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fitToWidth="2" fitToHeight="1" horizontalDpi="600" verticalDpi="600" orientation="landscape" paperSize="9" scale="64" r:id="rId1"/>
  <headerFooter alignWithMargins="0">
    <oddFooter>&amp;CStrona &amp;P z &amp;N</oddFooter>
  </headerFooter>
  <ignoredErrors>
    <ignoredError sqref="W12:Z12 C12:I12 P12" formulaRange="1"/>
    <ignoredError sqref="AD1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listy płac</dc:title>
  <dc:subject/>
  <dc:creator/>
  <cp:keywords/>
  <dc:description/>
  <cp:lastModifiedBy>Wojciech Sobieraj</cp:lastModifiedBy>
  <cp:lastPrinted>2014-02-03T11:51:06Z</cp:lastPrinted>
  <dcterms:created xsi:type="dcterms:W3CDTF">2013-01-30T11:16:37Z</dcterms:created>
  <dcterms:modified xsi:type="dcterms:W3CDTF">2014-04-24T12:40:17Z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-1584814832</vt:i4>
  </property>
  <property fmtid="{D5CDD505-2E9C-101B-9397-08002B2CF9AE}" pid="3" name="_EmailSubject">
    <vt:lpwstr>Prace na najbliższe dni</vt:lpwstr>
  </property>
  <property fmtid="{D5CDD505-2E9C-101B-9397-08002B2CF9AE}" pid="4" name="_AuthorEmail">
    <vt:lpwstr>iwona.sobieraj@elfin.pl</vt:lpwstr>
  </property>
  <property fmtid="{D5CDD505-2E9C-101B-9397-08002B2CF9AE}" pid="5" name="_AuthorEmailDisplayName">
    <vt:lpwstr>Iwona Sobieraj</vt:lpwstr>
  </property>
  <property fmtid="{D5CDD505-2E9C-101B-9397-08002B2CF9AE}" pid="6" name="_ReviewingToolsShownOnce">
    <vt:lpwstr/>
  </property>
</Properties>
</file>